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harlesdarwinuni-my.sharepoint.com/personal/sally_davis_cdu_edu_au/Documents/Desktop/"/>
    </mc:Choice>
  </mc:AlternateContent>
  <xr:revisionPtr revIDLastSave="0" documentId="8_{D824F749-CDCD-4024-A88C-D8CE6B155EFB}" xr6:coauthVersionLast="47" xr6:coauthVersionMax="47" xr10:uidLastSave="{00000000-0000-0000-0000-000000000000}"/>
  <bookViews>
    <workbookView xWindow="-21720" yWindow="-18615" windowWidth="29040" windowHeight="16440" firstSheet="2" activeTab="2" xr2:uid="{57B62EFF-E61E-4070-B976-3F4ADAD1F4CA}"/>
  </bookViews>
  <sheets>
    <sheet name="Data" sheetId="1" r:id="rId1"/>
    <sheet name="VLOOKUP Refresher" sheetId="2" r:id="rId2"/>
    <sheet name="XLOOKUP Examples" sheetId="3" r:id="rId3"/>
    <sheet name="Exercises (Answer Key)"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0" i="4" l="1"/>
  <c r="C8" i="4" a="1"/>
  <c r="C8" i="4" s="1"/>
  <c r="C6" i="4"/>
  <c r="C38" i="3"/>
  <c r="C36" i="3"/>
  <c r="C33" i="3"/>
  <c r="C32" i="3"/>
  <c r="C30" i="3"/>
  <c r="C29" i="3"/>
  <c r="C28" i="3"/>
  <c r="C25" i="3"/>
  <c r="C24" i="3" a="1"/>
  <c r="C24" i="3" s="1"/>
  <c r="C15" i="3" a="1"/>
  <c r="C15" i="3" s="1"/>
  <c r="C13" i="3" a="1"/>
  <c r="C13" i="3" s="1"/>
  <c r="C10" i="3"/>
  <c r="C9" i="3"/>
  <c r="C8" i="3"/>
  <c r="C7" i="3"/>
  <c r="C16" i="2"/>
  <c r="C15" i="2"/>
  <c r="C14" i="2"/>
  <c r="C13" i="2"/>
  <c r="C9" i="2"/>
  <c r="C8" i="2"/>
  <c r="C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<sst xmlns="http://schemas.openxmlformats.org/spreadsheetml/2006/main" count="251" uniqueCount="216">
  <si>
    <t>PlayerID</t>
  </si>
  <si>
    <t>Player</t>
  </si>
  <si>
    <t>State</t>
  </si>
  <si>
    <t>Position</t>
  </si>
  <si>
    <t>Caps</t>
  </si>
  <si>
    <t>Goals</t>
  </si>
  <si>
    <t>HR-101</t>
  </si>
  <si>
    <t>Kaja Adams</t>
  </si>
  <si>
    <t>WA</t>
  </si>
  <si>
    <t>Forward</t>
  </si>
  <si>
    <t>HR-102</t>
  </si>
  <si>
    <t>Mara Nguyen</t>
  </si>
  <si>
    <t>NSW</t>
  </si>
  <si>
    <t>Midfielder</t>
  </si>
  <si>
    <t>HR-103</t>
  </si>
  <si>
    <t>Tess Okafor</t>
  </si>
  <si>
    <t>QLD</t>
  </si>
  <si>
    <t>Defender</t>
  </si>
  <si>
    <t>HR-104</t>
  </si>
  <si>
    <t>Bree Sullivan</t>
  </si>
  <si>
    <t>VIC</t>
  </si>
  <si>
    <t>Goalkeeper</t>
  </si>
  <si>
    <t>HR-105</t>
  </si>
  <si>
    <t>Indi Fraser</t>
  </si>
  <si>
    <t>SA</t>
  </si>
  <si>
    <t>HR-107</t>
  </si>
  <si>
    <t>Talia Rourke</t>
  </si>
  <si>
    <t>NT</t>
  </si>
  <si>
    <t>HR-106</t>
  </si>
  <si>
    <t>Noor Haddad</t>
  </si>
  <si>
    <t>English</t>
  </si>
  <si>
    <t>Arabic</t>
  </si>
  <si>
    <t>Russian</t>
  </si>
  <si>
    <t>Chinese</t>
  </si>
  <si>
    <t>Pinyin</t>
  </si>
  <si>
    <t>Category</t>
  </si>
  <si>
    <t>Mastery</t>
  </si>
  <si>
    <t>Hello</t>
  </si>
  <si>
    <t>مرحبا</t>
  </si>
  <si>
    <t>Привет</t>
  </si>
  <si>
    <t>你好</t>
  </si>
  <si>
    <t>ni hao</t>
  </si>
  <si>
    <t>Greetings</t>
  </si>
  <si>
    <t>Thank you</t>
  </si>
  <si>
    <t>شكرا</t>
  </si>
  <si>
    <t>Спасибо</t>
  </si>
  <si>
    <t>谢谢</t>
  </si>
  <si>
    <t>xiexie</t>
  </si>
  <si>
    <t>Water</t>
  </si>
  <si>
    <t>ماء</t>
  </si>
  <si>
    <t>Вода</t>
  </si>
  <si>
    <t>水</t>
  </si>
  <si>
    <t>shui</t>
  </si>
  <si>
    <t>Food</t>
  </si>
  <si>
    <t>One</t>
  </si>
  <si>
    <t>واحد</t>
  </si>
  <si>
    <t>Один</t>
  </si>
  <si>
    <t>一</t>
  </si>
  <si>
    <t>yi</t>
  </si>
  <si>
    <t>Numbers</t>
  </si>
  <si>
    <t>Friend</t>
  </si>
  <si>
    <t>صديق</t>
  </si>
  <si>
    <t>Друг</t>
  </si>
  <si>
    <t>朋友</t>
  </si>
  <si>
    <t>pengyou</t>
  </si>
  <si>
    <t>People</t>
  </si>
  <si>
    <t>HomeBase</t>
  </si>
  <si>
    <t>Region</t>
  </si>
  <si>
    <t>Perth</t>
  </si>
  <si>
    <t>West</t>
  </si>
  <si>
    <t>Darwin</t>
  </si>
  <si>
    <t>North</t>
  </si>
  <si>
    <t>Brisbane</t>
  </si>
  <si>
    <t>North-East</t>
  </si>
  <si>
    <t>Sydney</t>
  </si>
  <si>
    <t>East</t>
  </si>
  <si>
    <t>Melbourne</t>
  </si>
  <si>
    <t>South-East</t>
  </si>
  <si>
    <t>Adelaide</t>
  </si>
  <si>
    <t>South</t>
  </si>
  <si>
    <t>MatchID</t>
  </si>
  <si>
    <t>Date</t>
  </si>
  <si>
    <t>Opponent</t>
  </si>
  <si>
    <t>Venue</t>
  </si>
  <si>
    <t>Result</t>
  </si>
  <si>
    <t>M-01</t>
  </si>
  <si>
    <t>New Zealand</t>
  </si>
  <si>
    <t>W 3-1</t>
  </si>
  <si>
    <t>M-02</t>
  </si>
  <si>
    <t>Argentina</t>
  </si>
  <si>
    <t>L 1-2</t>
  </si>
  <si>
    <t>M-03</t>
  </si>
  <si>
    <t>Netherlands</t>
  </si>
  <si>
    <t>D 2-2</t>
  </si>
  <si>
    <t>M-04</t>
  </si>
  <si>
    <t>W 4-0</t>
  </si>
  <si>
    <t>MinGoals</t>
  </si>
  <si>
    <t>Award</t>
  </si>
  <si>
    <t>Rookie</t>
  </si>
  <si>
    <t>Squad</t>
  </si>
  <si>
    <t>Cap</t>
  </si>
  <si>
    <t>Legend</t>
  </si>
  <si>
    <t>MinScore</t>
  </si>
  <si>
    <t>Level</t>
  </si>
  <si>
    <t>A1</t>
  </si>
  <si>
    <t>A2</t>
  </si>
  <si>
    <t>B1</t>
  </si>
  <si>
    <t>B2</t>
  </si>
  <si>
    <t>C1</t>
  </si>
  <si>
    <t>🗣️ tblVocab — phrasebook (English, Arabic, Russian, Chinese, Pinyin, Category, Mastery)</t>
  </si>
  <si>
    <t>tblStates — state → home base</t>
  </si>
  <si>
    <t>tblMatches — fixture log (grows downward)</t>
  </si>
  <si>
    <t>tblTiers — goals → award band</t>
  </si>
  <si>
    <t>tblLevels — mastery → CEFR band</t>
  </si>
  <si>
    <t>🏑 tblPlayers — Australian field hockey roster</t>
  </si>
  <si>
    <t>VLOOKUP — a quick refresher</t>
  </si>
  <si>
    <t>The mental move XLOOKUP keeps: find a value, bring something back. All data lives on the Data tab. Click any Result cell to see the live formula.</t>
  </si>
  <si>
    <t>Task</t>
  </si>
  <si>
    <t>Formula (what you type)</t>
  </si>
  <si>
    <t>What's happening / why it matters</t>
  </si>
  <si>
    <t>Talia's goal count, from her ID</t>
  </si>
  <si>
    <t>Find HR-107 in the FIRST column, then count 6 columns across by hand to reach Goals. FALSE = exact match — omit it and Excel quietly guesses. Returns 41.</t>
  </si>
  <si>
    <t>Head-to-head: same task, fewer traps</t>
  </si>
  <si>
    <t>Old — VLOOKUP</t>
  </si>
  <si>
    <t>The hand-counted 6 and the FALSE ritual are both here — and both are traps.</t>
  </si>
  <si>
    <t>New — XLOOKUP</t>
  </si>
  <si>
    <t>Point at columns by name. No counting, no match-type gotcha. Same answer: 41.</t>
  </si>
  <si>
    <t>The five pains of VLOOKUP — each one XLOOKUP fixes</t>
  </si>
  <si>
    <t>① Can't look left</t>
  </si>
  <si>
    <t>—</t>
  </si>
  <si>
    <t>② Breaks on insert</t>
  </si>
  <si>
    <t>Insert one column into the table and the hand-counted 6 silently points at the wrong field. XLOOKUP names the column, so it never drifts.</t>
  </si>
  <si>
    <t>③ Guesses by default</t>
  </si>
  <si>
    <t>=VLOOKUP("HR-107", Data!A2:F8, 6, FALSE)</t>
  </si>
  <si>
    <t>=XLOOKUP("HR-107", Players[PlayerID], Players[Goals])</t>
  </si>
  <si>
    <t>ID from a name — not possible</t>
  </si>
  <si>
    <t>=VLOOKUP("HR-107", Data!A2:F8, 6)   (no FALSE)</t>
  </si>
  <si>
    <t>=VLOOKUP("HR-999", Data!A2:F8, 6, FALSE)</t>
  </si>
  <si>
    <t>=VLOOKUP("HR-107", Data!A2:F8, 4, FALSE)  -&gt; Position</t>
  </si>
  <si>
    <t>The lookup column must be column 1. To get PlayerID (col A) from a Player name (col B) you'd rearrange the data. XLOOKUP just looks left.</t>
  </si>
  <si>
    <t>Omit FALSE and VLOOKUP does approximate matching — a near-miss that looks real (or #N/A). XLOOKUP defaults to exact match.</t>
  </si>
  <si>
    <t>④ Fails ugly</t>
  </si>
  <si>
    <t>No match returns a raw #N/A (shown live). You'd wrap it in IFERROR to fix it. XLOOKUP has if_not_found built in.</t>
  </si>
  <si>
    <t>⑤ One cell at a time</t>
  </si>
  <si>
    <t>One formula, one field. Position + Caps + Goals means three separate VLOOKUPs (cols 4, 5, 6). XLOOKUP returns all three at once — a spill.</t>
  </si>
  <si>
    <t>XLOOKUP — every example, live</t>
  </si>
  <si>
    <t>Each Result cell holds the real formula (click to inspect). Formulas use the named tables on the Data tab. Cells that spill fill the cells to the right or below the anchor.</t>
  </si>
  <si>
    <t>Result / spill →</t>
  </si>
  <si>
    <t>Exact match — hockey</t>
  </si>
  <si>
    <t>ID → name</t>
  </si>
  <si>
    <t>=XLOOKUP("HR-107", Players[PlayerID], Players[Player])</t>
  </si>
  <si>
    <t>The value · where to look · what to bring back. Match found on row 7 → the name comes back.</t>
  </si>
  <si>
    <t>Reverse it — look LEFT</t>
  </si>
  <si>
    <t>=XLOOKUP("Talia Rourke", Players[Player], Players[PlayerID])</t>
  </si>
  <si>
    <t>Start from the name, bring back the ID — one column to the LEFT. VLOOKUP literally cannot do this.</t>
  </si>
  <si>
    <t>Named ranges read like English</t>
  </si>
  <si>
    <t>=XLOOKUP("Indi Fraser", Players[Player], Players[Goals])</t>
  </si>
  <si>
    <t>Same result as a raw-range lookup, but this survives a column insert and explains itself. Indi → 31 goals.</t>
  </si>
  <si>
    <t>Fail gracefully: if_not_found</t>
  </si>
  <si>
    <t>=XLOOKUP("HR-999", Players[PlayerID], Players[Player], "Not on roster")</t>
  </si>
  <si>
    <t>No HR-999 on the roster → a clean, human answer instead of #N/A. No IFERROR wrapper needed (argument 4).</t>
  </si>
  <si>
    <t>Spill — one formula, many answers</t>
  </si>
  <si>
    <t>Three fields at once (spills →)</t>
  </si>
  <si>
    <t>=XLOOKUP("HR-107", Players[PlayerID], Players[[Position]:[Goals]])</t>
  </si>
  <si>
    <t>Return THREE columns (Position → Goals) in one formula. One anchor + two spilled cells. Remember pain ⑤? Gone.</t>
  </si>
  <si>
    <t>Whole column (spills ↓)</t>
  </si>
  <si>
    <t>=Players[Player]</t>
  </si>
  <si>
    <t>One formula, typed once, returns all seven names — they cascade down the empty cells below. That's a spill. (=C15# refers to the whole spilled range.)</t>
  </si>
  <si>
    <t>Language — same skill, new world</t>
  </si>
  <si>
    <t>One word, three scripts (spills →)</t>
  </si>
  <si>
    <t>=XLOOKUP("Hello", Vocab[English], Vocab[[Arabic]:[Chinese]])</t>
  </si>
  <si>
    <t>Find Hello in English, return the Arabic-to-Chinese stretch — three writing systems spill from one formula. XLOOKUP doesn't care about script.</t>
  </si>
  <si>
    <t>Across scripts, look LEFT</t>
  </si>
  <si>
    <t>=XLOOKUP("水", Vocab[Chinese], Vocab[English])</t>
  </si>
  <si>
    <t>Start from the Chinese column (far right) and look all the way back to English. 水 → Water. Direction stops being something you think about.</t>
  </si>
  <si>
    <t>match_mode &amp; search_mode</t>
  </si>
  <si>
    <t>Wildcards — match_mode 2</t>
  </si>
  <si>
    <t>=XLOOKUP("hel*", Vocab[English], Vocab[Chinese], , 2)</t>
  </si>
  <si>
    <t>hel* = "starts with hel" → matches Hello. Note the two commas: slot 4 (if_not_found) is skipped so 2 lands in slot 5 (match_mode).</t>
  </si>
  <si>
    <t>Approximate — language band</t>
  </si>
  <si>
    <t>=XLOOKUP(78, Levels[MinScore], Levels[Level], , -1)</t>
  </si>
  <si>
    <t>Mastery 78 isn't in the table → match_mode -1 slides down to the next smaller band, 70 → B2. Band tables must be sorted ascending.</t>
  </si>
  <si>
    <t>Approximate — hockey band</t>
  </si>
  <si>
    <t>=XLOOKUP(41, Tiers[MinGoals], Tiers[Award], , -1)</t>
  </si>
  <si>
    <t>Talia's 41 goals → next smaller band is 40 → Cap. Same -1 trick, different world.</t>
  </si>
  <si>
    <t>search_mode — default (top-down)</t>
  </si>
  <si>
    <t>=XLOOKUP("New Zealand", Matches[Opponent], Matches[Result])</t>
  </si>
  <si>
    <t>We played NZ twice. A normal top-down scan stops at the FIRST match — the March game: W 3-1.</t>
  </si>
  <si>
    <t>search_mode -1 (most recent)</t>
  </si>
  <si>
    <t>=XLOOKUP("New Zealand", Matches[Opponent], Matches[Result], , , -1)</t>
  </si>
  <si>
    <t>search_mode -1 scans bottom-up → the LAST NZ row wins: the June game, W 4-0. In a log that grows downward, the last row is the most recent.</t>
  </si>
  <si>
    <t>Advanced — combine &amp; replace</t>
  </si>
  <si>
    <t>Nested, two-table lookup</t>
  </si>
  <si>
    <t>=XLOOKUP(XLOOKUP("Talia Rourke", Players[Player], Players[State]), States[State], States[HomeBase])</t>
  </si>
  <si>
    <t>Inner XLOOKUP runs first: Talia → "NT". "NT" becomes the outer lookup against States → Darwin. Two hops, one formula.</t>
  </si>
  <si>
    <t>Replaces HLOOKUP too</t>
  </si>
  <si>
    <t>=XLOOKUP("NT", B41:G41, B42:G42)</t>
  </si>
  <si>
    <t>Point the arrays at ROWS instead of columns and the same sentence works sideways. Uses the little horizontal table below. → Darwin.</t>
  </si>
  <si>
    <t>Horizontal states table (for the example above):</t>
  </si>
  <si>
    <t>State →</t>
  </si>
  <si>
    <t>HomeBase →</t>
  </si>
  <si>
    <t>Three challenges — answer key</t>
  </si>
  <si>
    <t>Try each one yourself on the Data tab first, then check the live formula and result here. If you can walk someone through these three, you own it.</t>
  </si>
  <si>
    <t>Challenge</t>
  </si>
  <si>
    <t>Answer (live formula)</t>
  </si>
  <si>
    <t>Result →</t>
  </si>
  <si>
    <t>Why it works</t>
  </si>
  <si>
    <t>① Hockey — How many caps does Indi Fraser have?</t>
  </si>
  <si>
    <t>=XLOOKUP("Indi Fraser", Players[Player], Players[Caps])</t>
  </si>
  <si>
    <t>Plain exact-match lookup: find the name, bring back the Caps column. → 47</t>
  </si>
  <si>
    <t>② Language — Spill "Thank you" into all three scripts with one formula.</t>
  </si>
  <si>
    <t>=XLOOKUP("Thank you", Vocab[English], Vocab[[Arabic]:[Chinese]])</t>
  </si>
  <si>
    <t>A multi-column return_array (Arabic through Chinese) makes one formula spill three answers to the right. → شكرا · Спасибо · 谢谢</t>
  </si>
  <si>
    <t>③ Two-way — What is Noor Haddad's home base city?</t>
  </si>
  <si>
    <t>=XLOOKUP(XLOOKUP("Noor Haddad", Players[Player], Players[State]), States[State], States[HomeBase])</t>
  </si>
  <si>
    <t>Inner XLOOKUP: Noor → WA. That answer becomes the outer lookup value against the States table → Perth.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</si>
</sst>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b/>
      <sz val="16"/>
      <color rgb="FF1F3864"/>
      <name val="Aptos Narrow"/>
      <family val="2"/>
      <scheme val="minor"/>
    </font>
    <font>
      <i/>
      <sz val="11"/>
      <color rgb="FF595959"/>
      <name val="Aptos Narrow"/>
      <family val="2"/>
      <scheme val="minor"/>
    </font>
    <font>
      <b/>
      <sz val="11"/>
      <color rgb="FFFFFFFF"/>
      <name val="Aptos Narrow"/>
      <family val="2"/>
      <scheme val="minor"/>
    </font>
    <font>
      <sz val="11"/>
      <color rgb="FF0000FF"/>
      <name val="Consolas"/>
    </font>
    <font>
      <b/>
      <sz val="11"/>
      <color rgb="FF0000FF"/>
      <name val="Consolas"/>
    </font>
    <font>
      <b/>
      <sz val="11"/>
      <color rgb="FFC00000"/>
      <name val="Aptos Narrow"/>
      <family val="2"/>
      <scheme val="minor"/>
    </font>
    <font>
      <i/>
      <sz val="10"/>
      <color rgb="FF595959"/>
      <name val="Aptos Narrow"/>
      <family val="2"/>
      <scheme val="minor"/>
    </font>
    <font>
      <b/>
      <sz val="11"/>
      <color rgb="FF1F3864"/>
      <name val="Aptos Narrow"/>
      <family val="2"/>
      <scheme val="minor"/>
    </font>
    <font>
      <sz val="11"/>
      <color rgb="FF1F4E78"/>
      <name val="Consolas"/>
    </font>
    <font>
      <sz val="10"/>
      <color rgb="FF1F4E78"/>
      <name val="Consolas"/>
    </font>
    <font>
      <b/>
      <sz val="10"/>
      <color rgb="FF1F4E78"/>
      <name val="Consolas"/>
    </font>
    <font>
      <sz val="10"/>
      <color rgb="FF595959"/>
      <name val="Aptos Narrow"/>
      <family val="2"/>
      <scheme val="minor"/>
    </font>
    <font>
      <b/>
      <sz val="10"/>
      <color rgb="FF595959"/>
      <name val="Aptos Narrow"/>
      <family val="2"/>
      <scheme val="minor"/>
    </font>
    <font>
      <sz val="11"/>
      <color rgb="FF404040"/>
      <name val="Aptos Narrow"/>
      <family val="2"/>
      <scheme val="minor"/>
    </font>
  </fonts>
  <fills count="7">
    <fill>
      <patternFill patternType="none"/>
    </fill>
    <fill>
      <patternFill patternType="gray125"/>
    </fill>
    <fill>
      <patternFill patternType="solid">
        <fgColor rgb="FF1F3864"/>
        <bgColor indexed="64"/>
      </patternFill>
    </fill>
    <fill>
      <patternFill patternType="solid">
        <fgColor rgb="FFD6DCE4"/>
        <bgColor indexed="64"/>
      </patternFill>
    </fill>
    <fill>
      <patternFill patternType="solid">
        <fgColor rgb="FFD9E1F2"/>
        <bgColor indexed="64"/>
      </patternFill>
    </fill>
    <fill>
      <patternFill patternType="solid">
        <fgColor rgb="FFF2F2F2"/>
        <bgColor indexed="64"/>
      </patternFill>
    </fill>
    <fill>
      <patternFill patternType="solid">
        <fgColor rgb="FFDDEB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1">
    <xf numFmtId="0" fontId="0" fillId="0" borderId="0" xfId="0"/>
    <xf numFmtId="14" fontId="0" fillId="0" borderId="0" xfId="0" applyNumberFormat="1"/>
    <xf numFmtId="0" fontId="1" fillId="0" borderId="0" xfId="0" applyFont="1"/>
    <xf numFmtId="49" fontId="0" fillId="0" borderId="0" xfId="0" applyNumberFormat="1"/>
    <xf numFmtId="0" fontId="2" fillId="0" borderId="0" xfId="0" applyFont="1"/>
    <xf numFmtId="0" fontId="0" fillId="0" borderId="0" xfId="0"/>
    <xf numFmtId="0" fontId="3" fillId="0" borderId="0" xfId="0" applyFont="1" applyAlignment="1">
      <alignment wrapText="1"/>
    </xf>
    <xf numFmtId="0" fontId="1" fillId="0" borderId="0" xfId="0" applyFont="1" applyAlignment="1">
      <alignment horizontal="center"/>
    </xf>
    <xf numFmtId="0" fontId="0" fillId="0" borderId="0" xfId="0" applyAlignment="1">
      <alignment vertical="top" wrapText="1"/>
    </xf>
    <xf numFmtId="0" fontId="1" fillId="3" borderId="0" xfId="0" applyFont="1" applyFill="1" applyAlignment="1">
      <alignment vertical="top" wrapText="1"/>
    </xf>
    <xf numFmtId="0" fontId="4" fillId="2" borderId="0" xfId="0" applyFont="1" applyFill="1" applyAlignment="1">
      <alignment vertical="top"/>
    </xf>
    <xf numFmtId="49" fontId="4" fillId="2" borderId="0" xfId="0" applyNumberFormat="1" applyFont="1" applyFill="1" applyAlignment="1">
      <alignment vertical="top"/>
    </xf>
    <xf numFmtId="0" fontId="1" fillId="0" borderId="0" xfId="0" applyFont="1" applyAlignment="1">
      <alignment vertical="top"/>
    </xf>
    <xf numFmtId="49" fontId="5" fillId="0" borderId="0" xfId="0" applyNumberFormat="1" applyFont="1" applyAlignment="1">
      <alignment vertical="top"/>
    </xf>
    <xf numFmtId="0" fontId="1" fillId="0" borderId="0" xfId="0" applyFont="1" applyAlignment="1">
      <alignment horizontal="center" vertical="top"/>
    </xf>
    <xf numFmtId="0" fontId="0" fillId="0" borderId="0" xfId="0" applyAlignment="1">
      <alignment vertical="top"/>
    </xf>
    <xf numFmtId="0" fontId="1" fillId="3" borderId="0" xfId="0" applyFont="1" applyFill="1" applyAlignment="1">
      <alignment vertical="top"/>
    </xf>
    <xf numFmtId="49" fontId="6" fillId="3" borderId="0" xfId="0" applyNumberFormat="1" applyFont="1" applyFill="1" applyAlignment="1">
      <alignment vertical="top"/>
    </xf>
    <xf numFmtId="0" fontId="1" fillId="3" borderId="0" xfId="0" applyFont="1" applyFill="1" applyAlignment="1">
      <alignment horizontal="center" vertical="top"/>
    </xf>
    <xf numFmtId="0" fontId="7" fillId="0" borderId="0" xfId="0" applyFont="1" applyAlignment="1">
      <alignment horizontal="center" vertical="top"/>
    </xf>
    <xf numFmtId="0" fontId="8" fillId="0" borderId="0" xfId="0" applyFont="1" applyAlignment="1">
      <alignment wrapText="1"/>
    </xf>
    <xf numFmtId="0" fontId="4" fillId="2" borderId="0" xfId="0" applyFont="1" applyFill="1" applyAlignment="1">
      <alignment vertical="center"/>
    </xf>
    <xf numFmtId="49" fontId="4" fillId="2" borderId="0" xfId="0" applyNumberFormat="1" applyFont="1" applyFill="1" applyAlignment="1">
      <alignment vertical="center"/>
    </xf>
    <xf numFmtId="0" fontId="9" fillId="4" borderId="0" xfId="0" applyFont="1" applyFill="1"/>
    <xf numFmtId="49" fontId="10" fillId="0" borderId="0" xfId="0" applyNumberFormat="1" applyFont="1"/>
    <xf numFmtId="49" fontId="11" fillId="0" borderId="0" xfId="0" applyNumberFormat="1" applyFont="1"/>
    <xf numFmtId="49" fontId="12" fillId="4" borderId="0" xfId="0" applyNumberFormat="1" applyFont="1" applyFill="1"/>
    <xf numFmtId="0" fontId="1" fillId="0" borderId="0" xfId="0" applyFont="1" applyAlignment="1">
      <alignment horizontal="center" vertical="center"/>
    </xf>
    <xf numFmtId="0" fontId="9" fillId="4" borderId="0" xfId="0" applyFont="1" applyFill="1" applyAlignment="1">
      <alignment horizontal="center" vertical="center"/>
    </xf>
    <xf numFmtId="0" fontId="13" fillId="0" borderId="0" xfId="0" applyFont="1" applyAlignment="1">
      <alignment vertical="top" wrapText="1"/>
    </xf>
    <xf numFmtId="0" fontId="14" fillId="4" borderId="0" xfId="0" applyFont="1" applyFill="1" applyAlignment="1">
      <alignment vertical="top" wrapText="1"/>
    </xf>
    <xf numFmtId="0" fontId="0" fillId="0" borderId="0" xfId="0" applyAlignment="1">
      <alignment vertical="center" wrapText="1"/>
    </xf>
    <xf numFmtId="0" fontId="9" fillId="4" borderId="0" xfId="0" applyFont="1" applyFill="1" applyAlignment="1">
      <alignment vertical="center" wrapText="1"/>
    </xf>
    <xf numFmtId="0" fontId="3" fillId="0" borderId="0" xfId="0" applyFont="1" applyAlignment="1">
      <alignment vertical="center" wrapText="1"/>
    </xf>
    <xf numFmtId="0" fontId="0" fillId="5" borderId="1" xfId="0" applyFont="1" applyFill="1" applyBorder="1" applyAlignment="1">
      <alignment horizontal="center" vertical="center"/>
    </xf>
    <xf numFmtId="49" fontId="11" fillId="5" borderId="1" xfId="0" applyNumberFormat="1" applyFont="1" applyFill="1" applyBorder="1" applyAlignment="1">
      <alignment horizontal="center"/>
    </xf>
    <xf numFmtId="0" fontId="0" fillId="5" borderId="1" xfId="0" applyFont="1" applyFill="1" applyBorder="1" applyAlignment="1">
      <alignment horizontal="center"/>
    </xf>
    <xf numFmtId="0" fontId="1" fillId="6" borderId="0" xfId="0" applyFont="1" applyFill="1" applyAlignment="1">
      <alignment horizontal="center" vertical="center"/>
    </xf>
    <xf numFmtId="0" fontId="1" fillId="6" borderId="0" xfId="0" applyFont="1" applyFill="1" applyAlignment="1">
      <alignment horizontal="center"/>
    </xf>
    <xf numFmtId="0" fontId="9" fillId="0" borderId="0" xfId="0" applyFont="1" applyAlignment="1">
      <alignment vertical="top" wrapText="1"/>
    </xf>
    <xf numFmtId="0" fontId="15" fillId="0" borderId="0" xfId="0" applyFont="1" applyAlignment="1">
      <alignment vertical="top" wrapText="1"/>
    </xf>
  </cellXfs>
  <cellStyles count="1">
    <cellStyle name="Normal" xfId="0" builtinId="0"/>
  </cellStyles>
  <dxfs count="1">
    <dxf>
      <numFmt numFmtId="19"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0B170A-AA61-45AF-BC77-9BFBCD5701DF}" name="Players" displayName="Players" ref="A1:F8" totalsRowShown="0">
  <autoFilter ref="A1:F8" xr:uid="{2C0B170A-AA61-45AF-BC77-9BFBCD5701DF}"/>
  <tableColumns count="6">
    <tableColumn id="1" xr3:uid="{B0174DDA-25B4-4138-B117-900B6CB18117}" name="PlayerID"/>
    <tableColumn id="2" xr3:uid="{0773E63D-1060-4BB3-A871-B16D963D877D}" name="Player"/>
    <tableColumn id="3" xr3:uid="{FDCCDEBF-5C27-45A0-BD30-1E1E3B3D31B6}" name="State"/>
    <tableColumn id="4" xr3:uid="{BE71BAF6-0A1C-4817-B243-382D83F76A1B}" name="Position"/>
    <tableColumn id="5" xr3:uid="{CFCDEE81-E920-4037-BD72-8E4377996A48}" name="Caps"/>
    <tableColumn id="6" xr3:uid="{0B561290-888B-4DAE-9E42-FE8477F23CE6}" name="Goal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524C7E-7E38-412C-8EBD-00E0B608828F}" name="Vocab" displayName="Vocab" ref="A11:G16" totalsRowShown="0">
  <autoFilter ref="A11:G16" xr:uid="{9A524C7E-7E38-412C-8EBD-00E0B608828F}"/>
  <tableColumns count="7">
    <tableColumn id="1" xr3:uid="{BC65CB8E-16F8-402C-9FAE-00645A18FCB8}" name="English"/>
    <tableColumn id="2" xr3:uid="{97E9AB4B-4C07-4CB0-99C8-8599209DD906}" name="Arabic"/>
    <tableColumn id="3" xr3:uid="{4C8BBCE4-3026-4D12-8B4D-3F811DB98EA8}" name="Russian"/>
    <tableColumn id="4" xr3:uid="{71A73392-EF29-4CDE-B7E4-81868E4C2464}" name="Chinese"/>
    <tableColumn id="5" xr3:uid="{08CC8D7A-2E16-4E8C-8B1B-B1F90D9367BB}" name="Pinyin"/>
    <tableColumn id="6" xr3:uid="{403FB58C-8E75-4EE3-A702-D6DC5987A6E1}" name="Category"/>
    <tableColumn id="7" xr3:uid="{7536E892-263B-443F-BEDB-0B629712FA8A}" name="Master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7A8ED8B-DE38-4E30-A33B-2277C466B76B}" name="States" displayName="States" ref="A19:C25" totalsRowShown="0">
  <autoFilter ref="A19:C25" xr:uid="{B7A8ED8B-DE38-4E30-A33B-2277C466B76B}"/>
  <tableColumns count="3">
    <tableColumn id="1" xr3:uid="{8B682784-666B-4E53-A1FF-57A2833AFBC7}" name="State"/>
    <tableColumn id="2" xr3:uid="{490BD8B5-1F2E-4F8C-95D1-636501BD78EF}" name="HomeBase"/>
    <tableColumn id="3" xr3:uid="{24776CA0-16B3-477F-9576-99CBB211771A}" name="Regio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3D41C6-0195-4E1A-B487-DB9141838178}" name="Matches" displayName="Matches" ref="E19:I23" totalsRowShown="0">
  <autoFilter ref="E19:I23" xr:uid="{673D41C6-0195-4E1A-B487-DB9141838178}"/>
  <tableColumns count="5">
    <tableColumn id="1" xr3:uid="{B565F5B4-1E33-4DB6-BDDA-FC5DDF69200D}" name="MatchID"/>
    <tableColumn id="2" xr3:uid="{CA0A702E-1934-4507-AE76-E56D26A537CD}" name="Date" dataDxfId="0"/>
    <tableColumn id="3" xr3:uid="{4B4ED498-4D1D-4548-AA7C-3AA25C15F178}" name="Opponent"/>
    <tableColumn id="4" xr3:uid="{A806B0FA-75B1-4E24-9BE1-4214C688E70A}" name="Venue"/>
    <tableColumn id="5" xr3:uid="{47D8BBAD-AB33-49D4-94CE-06533C44758B}" name="Resul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E3C5DE1-1D7F-4682-8133-D25EF115AF82}" name="Tiers" displayName="Tiers" ref="A28:B32" totalsRowShown="0">
  <autoFilter ref="A28:B32" xr:uid="{1E3C5DE1-1D7F-4682-8133-D25EF115AF82}"/>
  <tableColumns count="2">
    <tableColumn id="1" xr3:uid="{3202AF1A-E3EB-4477-A7B4-6545BE09BF6D}" name="MinGoals"/>
    <tableColumn id="2" xr3:uid="{36D46315-B07C-4336-BE67-62AF0BEF0BBB}" name="Award"/>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506E756-9518-4C73-9682-C8F0C885D6D6}" name="Levels" displayName="Levels" ref="D28:E33" totalsRowShown="0">
  <autoFilter ref="D28:E33" xr:uid="{1506E756-9518-4C73-9682-C8F0C885D6D6}"/>
  <tableColumns count="2">
    <tableColumn id="1" xr3:uid="{44CF4192-4B15-4A5A-ABDF-E87547D11B0C}" name="MinScore"/>
    <tableColumn id="2" xr3:uid="{7AA193FE-5AF7-4384-BB99-C9376BCE04CF}" name="Level"/>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924"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BA5547E-4CE6-42F8-9766-9D23079F5989}">
  <we:reference id="wa200009404" version="1.0.0.8" store="en-GB" storeType="OMEX"/>
  <we:alternateReferences>
    <we:reference id="WA200009404" version="1.0.0.8" store="" storeType="OMEX"/>
  </we:alternateReferences>
  <we:properties>
    <we:property name="claude.fileId" value="&quot;bd1aa1eb-54a6-48a1-b96a-238b2468e9c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40E9A-5A10-4E35-96E3-D337BDB89A68}">
  <dimension ref="A1:I33"/>
  <sheetViews>
    <sheetView workbookViewId="0">
      <selection activeCell="A33" sqref="A33"/>
    </sheetView>
  </sheetViews>
  <sheetFormatPr defaultRowHeight="15" x14ac:dyDescent="0.25"/>
  <cols>
    <col min="1" max="1" width="83.7109375" bestFit="1" customWidth="1"/>
    <col min="2" max="2" width="13" bestFit="1" customWidth="1"/>
    <col min="3" max="3" width="10.42578125" bestFit="1" customWidth="1"/>
    <col min="4" max="4" width="31.7109375" bestFit="1" customWidth="1"/>
    <col min="5" max="5" width="40.42578125" bestFit="1" customWidth="1"/>
    <col min="6" max="6" width="11.42578125" bestFit="1" customWidth="1"/>
    <col min="7" max="7" width="12.42578125" bestFit="1" customWidth="1"/>
    <col min="8" max="8" width="43.5703125" bestFit="1" customWidth="1"/>
  </cols>
  <sheetData>
    <row r="1" spans="1:8" x14ac:dyDescent="0.25">
      <c r="A1" t="s">
        <v>0</v>
      </c>
      <c r="B1" t="s">
        <v>1</v>
      </c>
      <c r="C1" t="s">
        <v>2</v>
      </c>
      <c r="D1" t="s">
        <v>3</v>
      </c>
      <c r="E1" t="s">
        <v>4</v>
      </c>
      <c r="F1" t="s">
        <v>5</v>
      </c>
      <c r="H1" s="2" t="s">
        <v>114</v>
      </c>
    </row>
    <row r="2" spans="1:8" x14ac:dyDescent="0.25">
      <c r="A2" t="s">
        <v>6</v>
      </c>
      <c r="B2" t="s">
        <v>7</v>
      </c>
      <c r="C2" t="s">
        <v>8</v>
      </c>
      <c r="D2" t="s">
        <v>9</v>
      </c>
      <c r="E2">
        <v>142</v>
      </c>
      <c r="F2">
        <v>68</v>
      </c>
    </row>
    <row r="3" spans="1:8" x14ac:dyDescent="0.25">
      <c r="A3" t="s">
        <v>10</v>
      </c>
      <c r="B3" t="s">
        <v>11</v>
      </c>
      <c r="C3" t="s">
        <v>12</v>
      </c>
      <c r="D3" t="s">
        <v>13</v>
      </c>
      <c r="E3">
        <v>98</v>
      </c>
      <c r="F3">
        <v>24</v>
      </c>
    </row>
    <row r="4" spans="1:8" x14ac:dyDescent="0.25">
      <c r="A4" t="s">
        <v>14</v>
      </c>
      <c r="B4" t="s">
        <v>15</v>
      </c>
      <c r="C4" t="s">
        <v>16</v>
      </c>
      <c r="D4" t="s">
        <v>17</v>
      </c>
      <c r="E4">
        <v>210</v>
      </c>
      <c r="F4">
        <v>12</v>
      </c>
    </row>
    <row r="5" spans="1:8" x14ac:dyDescent="0.25">
      <c r="A5" t="s">
        <v>18</v>
      </c>
      <c r="B5" t="s">
        <v>19</v>
      </c>
      <c r="C5" t="s">
        <v>20</v>
      </c>
      <c r="D5" t="s">
        <v>21</v>
      </c>
      <c r="E5">
        <v>165</v>
      </c>
      <c r="F5">
        <v>0</v>
      </c>
    </row>
    <row r="6" spans="1:8" x14ac:dyDescent="0.25">
      <c r="A6" t="s">
        <v>22</v>
      </c>
      <c r="B6" t="s">
        <v>23</v>
      </c>
      <c r="C6" t="s">
        <v>24</v>
      </c>
      <c r="D6" t="s">
        <v>9</v>
      </c>
      <c r="E6">
        <v>47</v>
      </c>
      <c r="F6">
        <v>31</v>
      </c>
    </row>
    <row r="7" spans="1:8" x14ac:dyDescent="0.25">
      <c r="A7" t="s">
        <v>25</v>
      </c>
      <c r="B7" t="s">
        <v>26</v>
      </c>
      <c r="C7" t="s">
        <v>27</v>
      </c>
      <c r="D7" t="s">
        <v>9</v>
      </c>
      <c r="E7">
        <v>58</v>
      </c>
      <c r="F7">
        <v>41</v>
      </c>
    </row>
    <row r="8" spans="1:8" x14ac:dyDescent="0.25">
      <c r="A8" t="s">
        <v>28</v>
      </c>
      <c r="B8" t="s">
        <v>29</v>
      </c>
      <c r="C8" t="s">
        <v>8</v>
      </c>
      <c r="D8" t="s">
        <v>13</v>
      </c>
      <c r="E8">
        <v>76</v>
      </c>
      <c r="F8">
        <v>19</v>
      </c>
    </row>
    <row r="10" spans="1:8" x14ac:dyDescent="0.25">
      <c r="A10" s="2" t="s">
        <v>109</v>
      </c>
    </row>
    <row r="11" spans="1:8" x14ac:dyDescent="0.25">
      <c r="A11" t="s">
        <v>30</v>
      </c>
      <c r="B11" t="s">
        <v>31</v>
      </c>
      <c r="C11" t="s">
        <v>32</v>
      </c>
      <c r="D11" t="s">
        <v>33</v>
      </c>
      <c r="E11" t="s">
        <v>34</v>
      </c>
      <c r="F11" t="s">
        <v>35</v>
      </c>
      <c r="G11" t="s">
        <v>36</v>
      </c>
    </row>
    <row r="12" spans="1:8" x14ac:dyDescent="0.25">
      <c r="A12" t="s">
        <v>37</v>
      </c>
      <c r="B12" t="s">
        <v>38</v>
      </c>
      <c r="C12" t="s">
        <v>39</v>
      </c>
      <c r="D12" t="s">
        <v>40</v>
      </c>
      <c r="E12" t="s">
        <v>41</v>
      </c>
      <c r="F12" t="s">
        <v>42</v>
      </c>
      <c r="G12">
        <v>92</v>
      </c>
    </row>
    <row r="13" spans="1:8" x14ac:dyDescent="0.25">
      <c r="A13" t="s">
        <v>43</v>
      </c>
      <c r="B13" t="s">
        <v>44</v>
      </c>
      <c r="C13" t="s">
        <v>45</v>
      </c>
      <c r="D13" t="s">
        <v>46</v>
      </c>
      <c r="E13" t="s">
        <v>47</v>
      </c>
      <c r="F13" t="s">
        <v>42</v>
      </c>
      <c r="G13">
        <v>78</v>
      </c>
    </row>
    <row r="14" spans="1:8" x14ac:dyDescent="0.25">
      <c r="A14" t="s">
        <v>48</v>
      </c>
      <c r="B14" t="s">
        <v>49</v>
      </c>
      <c r="C14" t="s">
        <v>50</v>
      </c>
      <c r="D14" t="s">
        <v>51</v>
      </c>
      <c r="E14" t="s">
        <v>52</v>
      </c>
      <c r="F14" t="s">
        <v>53</v>
      </c>
      <c r="G14">
        <v>55</v>
      </c>
    </row>
    <row r="15" spans="1:8" x14ac:dyDescent="0.25">
      <c r="A15" t="s">
        <v>54</v>
      </c>
      <c r="B15" t="s">
        <v>55</v>
      </c>
      <c r="C15" t="s">
        <v>56</v>
      </c>
      <c r="D15" t="s">
        <v>57</v>
      </c>
      <c r="E15" t="s">
        <v>58</v>
      </c>
      <c r="F15" t="s">
        <v>59</v>
      </c>
      <c r="G15">
        <v>40</v>
      </c>
    </row>
    <row r="16" spans="1:8" x14ac:dyDescent="0.25">
      <c r="A16" t="s">
        <v>60</v>
      </c>
      <c r="B16" t="s">
        <v>61</v>
      </c>
      <c r="C16" t="s">
        <v>62</v>
      </c>
      <c r="D16" t="s">
        <v>63</v>
      </c>
      <c r="E16" t="s">
        <v>64</v>
      </c>
      <c r="F16" t="s">
        <v>65</v>
      </c>
      <c r="G16">
        <v>18</v>
      </c>
    </row>
    <row r="18" spans="1:9" x14ac:dyDescent="0.25">
      <c r="A18" s="2" t="s">
        <v>110</v>
      </c>
      <c r="E18" s="2" t="s">
        <v>111</v>
      </c>
    </row>
    <row r="19" spans="1:9" x14ac:dyDescent="0.25">
      <c r="A19" t="s">
        <v>2</v>
      </c>
      <c r="B19" t="s">
        <v>66</v>
      </c>
      <c r="C19" t="s">
        <v>67</v>
      </c>
      <c r="E19" t="s">
        <v>80</v>
      </c>
      <c r="F19" t="s">
        <v>81</v>
      </c>
      <c r="G19" t="s">
        <v>82</v>
      </c>
      <c r="H19" t="s">
        <v>83</v>
      </c>
      <c r="I19" t="s">
        <v>84</v>
      </c>
    </row>
    <row r="20" spans="1:9" x14ac:dyDescent="0.25">
      <c r="A20" t="s">
        <v>8</v>
      </c>
      <c r="B20" t="s">
        <v>68</v>
      </c>
      <c r="C20" t="s">
        <v>69</v>
      </c>
      <c r="E20" t="s">
        <v>85</v>
      </c>
      <c r="F20" s="1">
        <v>46083</v>
      </c>
      <c r="G20" t="s">
        <v>86</v>
      </c>
      <c r="H20" t="s">
        <v>68</v>
      </c>
      <c r="I20" t="s">
        <v>87</v>
      </c>
    </row>
    <row r="21" spans="1:9" x14ac:dyDescent="0.25">
      <c r="A21" t="s">
        <v>27</v>
      </c>
      <c r="B21" t="s">
        <v>70</v>
      </c>
      <c r="C21" t="s">
        <v>71</v>
      </c>
      <c r="E21" t="s">
        <v>88</v>
      </c>
      <c r="F21" s="1">
        <v>46126</v>
      </c>
      <c r="G21" t="s">
        <v>89</v>
      </c>
      <c r="H21" t="s">
        <v>74</v>
      </c>
      <c r="I21" t="s">
        <v>90</v>
      </c>
    </row>
    <row r="22" spans="1:9" x14ac:dyDescent="0.25">
      <c r="A22" t="s">
        <v>16</v>
      </c>
      <c r="B22" t="s">
        <v>72</v>
      </c>
      <c r="C22" t="s">
        <v>73</v>
      </c>
      <c r="E22" t="s">
        <v>91</v>
      </c>
      <c r="F22" s="1">
        <v>46162</v>
      </c>
      <c r="G22" t="s">
        <v>92</v>
      </c>
      <c r="H22" t="s">
        <v>68</v>
      </c>
      <c r="I22" t="s">
        <v>93</v>
      </c>
    </row>
    <row r="23" spans="1:9" x14ac:dyDescent="0.25">
      <c r="A23" t="s">
        <v>12</v>
      </c>
      <c r="B23" t="s">
        <v>74</v>
      </c>
      <c r="C23" t="s">
        <v>75</v>
      </c>
      <c r="E23" t="s">
        <v>94</v>
      </c>
      <c r="F23" s="1">
        <v>46181</v>
      </c>
      <c r="G23" t="s">
        <v>86</v>
      </c>
      <c r="H23" t="s">
        <v>76</v>
      </c>
      <c r="I23" t="s">
        <v>95</v>
      </c>
    </row>
    <row r="24" spans="1:9" x14ac:dyDescent="0.25">
      <c r="A24" t="s">
        <v>20</v>
      </c>
      <c r="B24" t="s">
        <v>76</v>
      </c>
      <c r="C24" t="s">
        <v>77</v>
      </c>
    </row>
    <row r="25" spans="1:9" x14ac:dyDescent="0.25">
      <c r="A25" t="s">
        <v>24</v>
      </c>
      <c r="B25" t="s">
        <v>78</v>
      </c>
      <c r="C25" t="s">
        <v>79</v>
      </c>
    </row>
    <row r="27" spans="1:9" x14ac:dyDescent="0.25">
      <c r="A27" s="2" t="s">
        <v>112</v>
      </c>
      <c r="D27" s="2" t="s">
        <v>113</v>
      </c>
    </row>
    <row r="28" spans="1:9" x14ac:dyDescent="0.25">
      <c r="A28" t="s">
        <v>96</v>
      </c>
      <c r="B28" t="s">
        <v>97</v>
      </c>
      <c r="D28" t="s">
        <v>102</v>
      </c>
      <c r="E28" t="s">
        <v>103</v>
      </c>
    </row>
    <row r="29" spans="1:9" x14ac:dyDescent="0.25">
      <c r="A29">
        <v>0</v>
      </c>
      <c r="B29" t="s">
        <v>98</v>
      </c>
      <c r="D29">
        <v>0</v>
      </c>
      <c r="E29" t="s">
        <v>104</v>
      </c>
    </row>
    <row r="30" spans="1:9" x14ac:dyDescent="0.25">
      <c r="A30">
        <v>20</v>
      </c>
      <c r="B30" t="s">
        <v>99</v>
      </c>
      <c r="D30">
        <v>30</v>
      </c>
      <c r="E30" t="s">
        <v>105</v>
      </c>
    </row>
    <row r="31" spans="1:9" x14ac:dyDescent="0.25">
      <c r="A31">
        <v>40</v>
      </c>
      <c r="B31" t="s">
        <v>100</v>
      </c>
      <c r="D31">
        <v>50</v>
      </c>
      <c r="E31" t="s">
        <v>106</v>
      </c>
    </row>
    <row r="32" spans="1:9" x14ac:dyDescent="0.25">
      <c r="A32">
        <v>60</v>
      </c>
      <c r="B32" t="s">
        <v>101</v>
      </c>
      <c r="D32">
        <v>70</v>
      </c>
      <c r="E32" t="s">
        <v>107</v>
      </c>
    </row>
    <row r="33" spans="4:5" x14ac:dyDescent="0.25">
      <c r="D33">
        <v>90</v>
      </c>
      <c r="E33" t="s">
        <v>108</v>
      </c>
    </row>
  </sheetData>
  <pageMargins left="0.7" right="0.7" top="0.75" bottom="0.75" header="0.3" footer="0.3"/>
  <tableParts count="6">
    <tablePart r:id="rId1"/>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E498C-11D8-4778-B952-69F114F46170}">
  <dimension ref="A1:E16"/>
  <sheetViews>
    <sheetView workbookViewId="0">
      <selection activeCell="B24" sqref="B24"/>
    </sheetView>
  </sheetViews>
  <sheetFormatPr defaultRowHeight="15" x14ac:dyDescent="0.25"/>
  <cols>
    <col min="1" max="1" width="28.5703125" customWidth="1"/>
    <col min="2" max="2" width="59" customWidth="1"/>
    <col min="3" max="3" width="18.140625" customWidth="1"/>
    <col min="4" max="4" width="2.7109375" customWidth="1"/>
    <col min="5" max="5" width="81.85546875" customWidth="1"/>
  </cols>
  <sheetData>
    <row r="1" spans="1:5" ht="21" x14ac:dyDescent="0.35">
      <c r="A1" s="4" t="s">
        <v>115</v>
      </c>
    </row>
    <row r="2" spans="1:5" x14ac:dyDescent="0.25">
      <c r="A2" s="6" t="s">
        <v>116</v>
      </c>
      <c r="B2" s="6"/>
      <c r="C2" s="6"/>
      <c r="D2" s="6"/>
      <c r="E2" s="6"/>
    </row>
    <row r="4" spans="1:5" x14ac:dyDescent="0.25">
      <c r="A4" s="10" t="s">
        <v>117</v>
      </c>
      <c r="B4" s="11" t="s">
        <v>118</v>
      </c>
      <c r="C4" s="10" t="s">
        <v>84</v>
      </c>
      <c r="D4" s="10"/>
      <c r="E4" s="10" t="s">
        <v>119</v>
      </c>
    </row>
    <row r="5" spans="1:5" ht="30" x14ac:dyDescent="0.25">
      <c r="A5" s="12" t="s">
        <v>120</v>
      </c>
      <c r="B5" s="13" t="s">
        <v>133</v>
      </c>
      <c r="C5" s="14">
        <f>VLOOKUP("HR-107", Data!A2:F8, 6, FALSE)</f>
        <v>41</v>
      </c>
      <c r="D5" s="15"/>
      <c r="E5" s="8" t="s">
        <v>121</v>
      </c>
    </row>
    <row r="6" spans="1:5" x14ac:dyDescent="0.25">
      <c r="A6" s="12"/>
      <c r="B6" s="13"/>
      <c r="C6" s="14"/>
      <c r="D6" s="15"/>
      <c r="E6" s="8"/>
    </row>
    <row r="7" spans="1:5" x14ac:dyDescent="0.25">
      <c r="A7" s="16" t="s">
        <v>122</v>
      </c>
      <c r="B7" s="17"/>
      <c r="C7" s="18"/>
      <c r="D7" s="16"/>
      <c r="E7" s="9"/>
    </row>
    <row r="8" spans="1:5" x14ac:dyDescent="0.25">
      <c r="A8" s="12" t="s">
        <v>123</v>
      </c>
      <c r="B8" s="13" t="s">
        <v>133</v>
      </c>
      <c r="C8" s="14">
        <f>VLOOKUP("HR-107", Data!A2:F8, 6, FALSE)</f>
        <v>41</v>
      </c>
      <c r="D8" s="15"/>
      <c r="E8" s="8" t="s">
        <v>124</v>
      </c>
    </row>
    <row r="9" spans="1:5" x14ac:dyDescent="0.25">
      <c r="A9" s="12" t="s">
        <v>125</v>
      </c>
      <c r="B9" s="13" t="s">
        <v>134</v>
      </c>
      <c r="C9" s="14">
        <f>_xlfn.XLOOKUP("HR-107", Players[PlayerID], Players[Goals])</f>
        <v>41</v>
      </c>
      <c r="D9" s="15"/>
      <c r="E9" s="8" t="s">
        <v>126</v>
      </c>
    </row>
    <row r="10" spans="1:5" x14ac:dyDescent="0.25">
      <c r="A10" s="12"/>
      <c r="B10" s="13"/>
      <c r="C10" s="14"/>
      <c r="D10" s="15"/>
      <c r="E10" s="8"/>
    </row>
    <row r="11" spans="1:5" x14ac:dyDescent="0.25">
      <c r="A11" s="16" t="s">
        <v>127</v>
      </c>
      <c r="B11" s="17"/>
      <c r="C11" s="18"/>
      <c r="D11" s="16"/>
      <c r="E11" s="9"/>
    </row>
    <row r="12" spans="1:5" ht="30" x14ac:dyDescent="0.25">
      <c r="A12" s="12" t="s">
        <v>128</v>
      </c>
      <c r="B12" s="13" t="s">
        <v>135</v>
      </c>
      <c r="C12" s="14" t="s">
        <v>129</v>
      </c>
      <c r="D12" s="15"/>
      <c r="E12" s="8" t="s">
        <v>139</v>
      </c>
    </row>
    <row r="13" spans="1:5" ht="30" x14ac:dyDescent="0.25">
      <c r="A13" s="12" t="s">
        <v>130</v>
      </c>
      <c r="B13" s="13" t="s">
        <v>133</v>
      </c>
      <c r="C13" s="14">
        <f>VLOOKUP("HR-107", Data!A2:F8, 6, FALSE)</f>
        <v>41</v>
      </c>
      <c r="D13" s="15"/>
      <c r="E13" s="8" t="s">
        <v>131</v>
      </c>
    </row>
    <row r="14" spans="1:5" ht="30" x14ac:dyDescent="0.25">
      <c r="A14" s="12" t="s">
        <v>132</v>
      </c>
      <c r="B14" s="13" t="s">
        <v>136</v>
      </c>
      <c r="C14" s="14">
        <f>IFERROR(VLOOKUP("HR-107", Data!A2:F8, 6), "#N/A")</f>
        <v>41</v>
      </c>
      <c r="D14" s="15"/>
      <c r="E14" s="8" t="s">
        <v>140</v>
      </c>
    </row>
    <row r="15" spans="1:5" ht="30" x14ac:dyDescent="0.25">
      <c r="A15" s="12" t="s">
        <v>141</v>
      </c>
      <c r="B15" s="13" t="s">
        <v>137</v>
      </c>
      <c r="C15" s="19" t="e">
        <f>VLOOKUP("HR-999", Data!A2:F8, 6, FALSE)</f>
        <v>#N/A</v>
      </c>
      <c r="D15" s="15"/>
      <c r="E15" s="8" t="s">
        <v>142</v>
      </c>
    </row>
    <row r="16" spans="1:5" ht="30" x14ac:dyDescent="0.25">
      <c r="A16" s="12" t="s">
        <v>143</v>
      </c>
      <c r="B16" s="13" t="s">
        <v>138</v>
      </c>
      <c r="C16" s="14" t="str">
        <f>VLOOKUP("HR-107", Data!A2:F8, 4, FALSE)</f>
        <v>Forward</v>
      </c>
      <c r="D16" s="15"/>
      <c r="E16" s="8" t="s">
        <v>144</v>
      </c>
    </row>
  </sheetData>
  <mergeCells count="1">
    <mergeCell ref="A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07FA8-B0CC-4D53-B79A-7DD61516AC82}">
  <dimension ref="A1:H45"/>
  <sheetViews>
    <sheetView tabSelected="1" topLeftCell="A34" workbookViewId="0">
      <selection activeCell="B22" sqref="B22"/>
    </sheetView>
  </sheetViews>
  <sheetFormatPr defaultRowHeight="15" x14ac:dyDescent="0.25"/>
  <cols>
    <col min="1" max="1" width="28.5703125" customWidth="1"/>
    <col min="2" max="2" width="64.7109375" customWidth="1"/>
    <col min="3" max="5" width="18.140625" customWidth="1"/>
    <col min="6" max="6" width="15.28515625" customWidth="1"/>
    <col min="7" max="7" width="2.7109375" customWidth="1"/>
    <col min="8" max="8" width="83.85546875" customWidth="1"/>
  </cols>
  <sheetData>
    <row r="1" spans="1:8" ht="21" x14ac:dyDescent="0.35">
      <c r="A1" s="4" t="s">
        <v>145</v>
      </c>
      <c r="B1" s="3"/>
    </row>
    <row r="2" spans="1:8" ht="30" customHeight="1" x14ac:dyDescent="0.25">
      <c r="A2" s="20" t="s">
        <v>146</v>
      </c>
      <c r="B2" s="5"/>
      <c r="C2" s="5"/>
      <c r="D2" s="5"/>
      <c r="E2" s="5"/>
      <c r="F2" s="5"/>
      <c r="G2" s="5"/>
      <c r="H2" s="5"/>
    </row>
    <row r="3" spans="1:8" x14ac:dyDescent="0.25">
      <c r="B3" s="3"/>
    </row>
    <row r="4" spans="1:8" x14ac:dyDescent="0.25">
      <c r="A4" s="21" t="s">
        <v>117</v>
      </c>
      <c r="B4" s="22" t="s">
        <v>118</v>
      </c>
      <c r="C4" s="21" t="s">
        <v>147</v>
      </c>
      <c r="D4" s="21"/>
      <c r="E4" s="21"/>
      <c r="F4" s="21"/>
      <c r="G4" s="21"/>
      <c r="H4" s="21" t="s">
        <v>119</v>
      </c>
    </row>
    <row r="5" spans="1:8" x14ac:dyDescent="0.25">
      <c r="A5" s="31"/>
      <c r="B5" s="25"/>
      <c r="C5" s="27"/>
      <c r="D5" s="27"/>
      <c r="E5" s="27"/>
      <c r="F5" s="27"/>
      <c r="H5" s="29"/>
    </row>
    <row r="6" spans="1:8" x14ac:dyDescent="0.25">
      <c r="A6" s="32" t="s">
        <v>148</v>
      </c>
      <c r="B6" s="26"/>
      <c r="C6" s="28"/>
      <c r="D6" s="28"/>
      <c r="E6" s="28"/>
      <c r="F6" s="28"/>
      <c r="G6" s="23"/>
      <c r="H6" s="30"/>
    </row>
    <row r="7" spans="1:8" x14ac:dyDescent="0.25">
      <c r="A7" s="31" t="s">
        <v>149</v>
      </c>
      <c r="B7" s="25" t="s">
        <v>150</v>
      </c>
      <c r="C7" s="27" t="str">
        <f>_xlfn.XLOOKUP("HR-107", Players[PlayerID], Players[Player])</f>
        <v>Talia Rourke</v>
      </c>
      <c r="D7" s="27"/>
      <c r="E7" s="27"/>
      <c r="F7" s="27"/>
      <c r="H7" s="29" t="s">
        <v>151</v>
      </c>
    </row>
    <row r="8" spans="1:8" x14ac:dyDescent="0.25">
      <c r="A8" s="31" t="s">
        <v>152</v>
      </c>
      <c r="B8" s="25" t="s">
        <v>153</v>
      </c>
      <c r="C8" s="27" t="str">
        <f>_xlfn.XLOOKUP("Talia Rourke", Players[Player], Players[PlayerID])</f>
        <v>HR-107</v>
      </c>
      <c r="D8" s="27"/>
      <c r="E8" s="27"/>
      <c r="F8" s="27"/>
      <c r="H8" s="29" t="s">
        <v>154</v>
      </c>
    </row>
    <row r="9" spans="1:8" ht="30" x14ac:dyDescent="0.25">
      <c r="A9" s="31" t="s">
        <v>155</v>
      </c>
      <c r="B9" s="25" t="s">
        <v>156</v>
      </c>
      <c r="C9" s="27">
        <f>_xlfn.XLOOKUP("Indi Fraser", Players[Player], Players[Goals])</f>
        <v>31</v>
      </c>
      <c r="D9" s="27"/>
      <c r="E9" s="27"/>
      <c r="F9" s="27"/>
      <c r="H9" s="29" t="s">
        <v>157</v>
      </c>
    </row>
    <row r="10" spans="1:8" x14ac:dyDescent="0.25">
      <c r="A10" s="31" t="s">
        <v>158</v>
      </c>
      <c r="B10" s="25" t="s">
        <v>159</v>
      </c>
      <c r="C10" s="27" t="str">
        <f>_xlfn.XLOOKUP("HR-999", Players[PlayerID], Players[Player], "Not on roster")</f>
        <v>Not on roster</v>
      </c>
      <c r="D10" s="27"/>
      <c r="E10" s="27"/>
      <c r="F10" s="27"/>
      <c r="H10" s="29" t="s">
        <v>160</v>
      </c>
    </row>
    <row r="11" spans="1:8" x14ac:dyDescent="0.25">
      <c r="A11" s="31"/>
      <c r="B11" s="25"/>
      <c r="C11" s="27"/>
      <c r="D11" s="27"/>
      <c r="E11" s="27"/>
      <c r="F11" s="27"/>
      <c r="H11" s="29"/>
    </row>
    <row r="12" spans="1:8" ht="30" x14ac:dyDescent="0.25">
      <c r="A12" s="32" t="s">
        <v>161</v>
      </c>
      <c r="B12" s="26"/>
      <c r="C12" s="28"/>
      <c r="D12" s="28"/>
      <c r="E12" s="28"/>
      <c r="F12" s="28"/>
      <c r="G12" s="23"/>
      <c r="H12" s="30"/>
    </row>
    <row r="13" spans="1:8" ht="27" x14ac:dyDescent="0.25">
      <c r="A13" s="31" t="s">
        <v>162</v>
      </c>
      <c r="B13" s="25" t="s">
        <v>163</v>
      </c>
      <c r="C13" s="37" t="str" cm="1">
        <f t="array" ref="C13:E13">_xlfn.XLOOKUP("HR-107", Players[PlayerID], Players[[Position]:[Goals]])</f>
        <v>Forward</v>
      </c>
      <c r="D13" s="37">
        <v>58</v>
      </c>
      <c r="E13" s="37">
        <v>41</v>
      </c>
      <c r="F13" s="27"/>
      <c r="H13" s="29" t="s">
        <v>164</v>
      </c>
    </row>
    <row r="14" spans="1:8" x14ac:dyDescent="0.25">
      <c r="A14" s="31"/>
      <c r="B14" s="25"/>
      <c r="C14" s="27"/>
      <c r="D14" s="27"/>
      <c r="E14" s="27"/>
      <c r="F14" s="27"/>
      <c r="H14" s="29"/>
    </row>
    <row r="15" spans="1:8" ht="27" x14ac:dyDescent="0.25">
      <c r="A15" s="31" t="s">
        <v>165</v>
      </c>
      <c r="B15" s="25" t="s">
        <v>166</v>
      </c>
      <c r="C15" s="37" t="str" cm="1">
        <f t="array" ref="C15:C21">Players[Player]</f>
        <v>Kaja Adams</v>
      </c>
      <c r="D15" s="27"/>
      <c r="E15" s="27"/>
      <c r="F15" s="27"/>
      <c r="H15" s="29" t="s">
        <v>167</v>
      </c>
    </row>
    <row r="16" spans="1:8" x14ac:dyDescent="0.25">
      <c r="A16" s="31"/>
      <c r="B16" s="25"/>
      <c r="C16" s="37" t="str">
        <v>Mara Nguyen</v>
      </c>
      <c r="D16" s="27"/>
      <c r="E16" s="27"/>
      <c r="F16" s="27"/>
      <c r="H16" s="29"/>
    </row>
    <row r="17" spans="1:8" x14ac:dyDescent="0.25">
      <c r="A17" s="31"/>
      <c r="B17" s="25"/>
      <c r="C17" s="37" t="str">
        <v>Tess Okafor</v>
      </c>
      <c r="D17" s="27"/>
      <c r="E17" s="27"/>
      <c r="F17" s="27"/>
      <c r="H17" s="29"/>
    </row>
    <row r="18" spans="1:8" x14ac:dyDescent="0.25">
      <c r="A18" s="31"/>
      <c r="B18" s="25"/>
      <c r="C18" s="37" t="str">
        <v>Bree Sullivan</v>
      </c>
      <c r="D18" s="27"/>
      <c r="E18" s="27"/>
      <c r="F18" s="27"/>
      <c r="H18" s="29"/>
    </row>
    <row r="19" spans="1:8" x14ac:dyDescent="0.25">
      <c r="A19" s="31"/>
      <c r="B19" s="25"/>
      <c r="C19" s="37" t="str">
        <v>Indi Fraser</v>
      </c>
      <c r="D19" s="27"/>
      <c r="E19" s="27"/>
      <c r="F19" s="27"/>
      <c r="H19" s="29"/>
    </row>
    <row r="20" spans="1:8" x14ac:dyDescent="0.25">
      <c r="A20" s="31"/>
      <c r="B20" s="25"/>
      <c r="C20" s="37" t="str">
        <v>Talia Rourke</v>
      </c>
      <c r="D20" s="27"/>
      <c r="E20" s="27"/>
      <c r="F20" s="27"/>
      <c r="H20" s="29"/>
    </row>
    <row r="21" spans="1:8" x14ac:dyDescent="0.25">
      <c r="A21" s="31"/>
      <c r="B21" s="25"/>
      <c r="C21" s="37" t="str">
        <v>Noor Haddad</v>
      </c>
      <c r="D21" s="27"/>
      <c r="E21" s="27"/>
      <c r="F21" s="27"/>
      <c r="H21" s="29"/>
    </row>
    <row r="22" spans="1:8" x14ac:dyDescent="0.25">
      <c r="A22" s="31"/>
      <c r="B22" s="25"/>
      <c r="C22" s="27"/>
      <c r="D22" s="27"/>
      <c r="E22" s="27"/>
      <c r="F22" s="27"/>
      <c r="H22" s="29"/>
    </row>
    <row r="23" spans="1:8" ht="30" x14ac:dyDescent="0.25">
      <c r="A23" s="32" t="s">
        <v>168</v>
      </c>
      <c r="B23" s="26"/>
      <c r="C23" s="28"/>
      <c r="D23" s="28"/>
      <c r="E23" s="28"/>
      <c r="F23" s="28"/>
      <c r="G23" s="23"/>
      <c r="H23" s="30"/>
    </row>
    <row r="24" spans="1:8" ht="30" x14ac:dyDescent="0.25">
      <c r="A24" s="31" t="s">
        <v>169</v>
      </c>
      <c r="B24" s="25" t="s">
        <v>170</v>
      </c>
      <c r="C24" s="37" t="str" cm="1">
        <f t="array" ref="C24:E24">_xlfn.XLOOKUP("Hello", Vocab[English], Vocab[[Arabic]:[Chinese]])</f>
        <v>مرحبا</v>
      </c>
      <c r="D24" s="37" t="str">
        <v>Привет</v>
      </c>
      <c r="E24" s="37" t="str">
        <v>你好</v>
      </c>
      <c r="F24" s="27"/>
      <c r="H24" s="29" t="s">
        <v>171</v>
      </c>
    </row>
    <row r="25" spans="1:8" ht="27" x14ac:dyDescent="0.25">
      <c r="A25" s="31" t="s">
        <v>172</v>
      </c>
      <c r="B25" s="25" t="s">
        <v>173</v>
      </c>
      <c r="C25" s="27" t="str">
        <f>_xlfn.XLOOKUP("水", Vocab[Chinese], Vocab[English])</f>
        <v>Water</v>
      </c>
      <c r="D25" s="27"/>
      <c r="E25" s="27"/>
      <c r="F25" s="27"/>
      <c r="H25" s="29" t="s">
        <v>174</v>
      </c>
    </row>
    <row r="26" spans="1:8" x14ac:dyDescent="0.25">
      <c r="A26" s="31"/>
      <c r="B26" s="25"/>
      <c r="C26" s="27"/>
      <c r="D26" s="27"/>
      <c r="E26" s="27"/>
      <c r="F26" s="27"/>
      <c r="H26" s="29"/>
    </row>
    <row r="27" spans="1:8" x14ac:dyDescent="0.25">
      <c r="A27" s="32" t="s">
        <v>175</v>
      </c>
      <c r="B27" s="26"/>
      <c r="C27" s="28"/>
      <c r="D27" s="28"/>
      <c r="E27" s="28"/>
      <c r="F27" s="28"/>
      <c r="G27" s="23"/>
      <c r="H27" s="30"/>
    </row>
    <row r="28" spans="1:8" ht="27" x14ac:dyDescent="0.25">
      <c r="A28" s="31" t="s">
        <v>176</v>
      </c>
      <c r="B28" s="25" t="s">
        <v>177</v>
      </c>
      <c r="C28" s="27" t="str">
        <f>_xlfn.XLOOKUP("hel*", Vocab[English], Vocab[Chinese], , 2)</f>
        <v>你好</v>
      </c>
      <c r="D28" s="27"/>
      <c r="E28" s="27"/>
      <c r="F28" s="27"/>
      <c r="H28" s="29" t="s">
        <v>178</v>
      </c>
    </row>
    <row r="29" spans="1:8" ht="27" x14ac:dyDescent="0.25">
      <c r="A29" s="31" t="s">
        <v>179</v>
      </c>
      <c r="B29" s="25" t="s">
        <v>180</v>
      </c>
      <c r="C29" s="27" t="str">
        <f>_xlfn.XLOOKUP(78, Levels[MinScore], Levels[Level], , -1)</f>
        <v>B2</v>
      </c>
      <c r="D29" s="27"/>
      <c r="E29" s="27"/>
      <c r="F29" s="27"/>
      <c r="H29" s="29" t="s">
        <v>181</v>
      </c>
    </row>
    <row r="30" spans="1:8" x14ac:dyDescent="0.25">
      <c r="A30" s="31" t="s">
        <v>182</v>
      </c>
      <c r="B30" s="25" t="s">
        <v>183</v>
      </c>
      <c r="C30" s="27" t="str">
        <f>_xlfn.XLOOKUP(41, Tiers[MinGoals], Tiers[Award], , -1)</f>
        <v>Cap</v>
      </c>
      <c r="D30" s="27"/>
      <c r="E30" s="27"/>
      <c r="F30" s="27"/>
      <c r="H30" s="29" t="s">
        <v>184</v>
      </c>
    </row>
    <row r="31" spans="1:8" x14ac:dyDescent="0.25">
      <c r="A31" s="31"/>
      <c r="B31" s="25"/>
      <c r="C31" s="27"/>
      <c r="D31" s="27"/>
      <c r="E31" s="27"/>
      <c r="F31" s="27"/>
      <c r="H31" s="29"/>
    </row>
    <row r="32" spans="1:8" ht="30" x14ac:dyDescent="0.25">
      <c r="A32" s="31" t="s">
        <v>185</v>
      </c>
      <c r="B32" s="25" t="s">
        <v>186</v>
      </c>
      <c r="C32" s="27" t="str">
        <f>_xlfn.XLOOKUP("New Zealand", Matches[Opponent], Matches[Result])</f>
        <v>W 3-1</v>
      </c>
      <c r="D32" s="27"/>
      <c r="E32" s="27"/>
      <c r="F32" s="27"/>
      <c r="H32" s="29" t="s">
        <v>187</v>
      </c>
    </row>
    <row r="33" spans="1:8" ht="27" x14ac:dyDescent="0.25">
      <c r="A33" s="31" t="s">
        <v>188</v>
      </c>
      <c r="B33" s="25" t="s">
        <v>189</v>
      </c>
      <c r="C33" s="27" t="str">
        <f>_xlfn.XLOOKUP("New Zealand", Matches[Opponent], Matches[Result], , , -1)</f>
        <v>W 4-0</v>
      </c>
      <c r="D33" s="27"/>
      <c r="E33" s="27"/>
      <c r="F33" s="27"/>
      <c r="H33" s="29" t="s">
        <v>190</v>
      </c>
    </row>
    <row r="34" spans="1:8" x14ac:dyDescent="0.25">
      <c r="A34" s="31"/>
      <c r="B34" s="25"/>
      <c r="C34" s="27"/>
      <c r="D34" s="27"/>
      <c r="E34" s="27"/>
      <c r="F34" s="27"/>
      <c r="H34" s="29"/>
    </row>
    <row r="35" spans="1:8" ht="30" x14ac:dyDescent="0.25">
      <c r="A35" s="32" t="s">
        <v>191</v>
      </c>
      <c r="B35" s="26"/>
      <c r="C35" s="28"/>
      <c r="D35" s="28"/>
      <c r="E35" s="28"/>
      <c r="F35" s="28"/>
      <c r="G35" s="23"/>
      <c r="H35" s="30"/>
    </row>
    <row r="36" spans="1:8" ht="27" x14ac:dyDescent="0.25">
      <c r="A36" s="31" t="s">
        <v>192</v>
      </c>
      <c r="B36" s="25" t="s">
        <v>193</v>
      </c>
      <c r="C36" s="27" t="str">
        <f>_xlfn.XLOOKUP(_xlfn.XLOOKUP("Talia Rourke", Players[Player], Players[State]), States[State], States[HomeBase])</f>
        <v>Darwin</v>
      </c>
      <c r="D36" s="27"/>
      <c r="E36" s="27"/>
      <c r="F36" s="27"/>
      <c r="H36" s="29" t="s">
        <v>194</v>
      </c>
    </row>
    <row r="37" spans="1:8" x14ac:dyDescent="0.25">
      <c r="A37" s="31"/>
      <c r="B37" s="25"/>
      <c r="C37" s="27"/>
      <c r="D37" s="27"/>
      <c r="E37" s="27"/>
      <c r="F37" s="27"/>
      <c r="H37" s="29"/>
    </row>
    <row r="38" spans="1:8" ht="27" x14ac:dyDescent="0.25">
      <c r="A38" s="31" t="s">
        <v>195</v>
      </c>
      <c r="B38" s="25" t="s">
        <v>196</v>
      </c>
      <c r="C38" s="27" t="str">
        <f>_xlfn.XLOOKUP("NT", B41:G41, B42:G42)</f>
        <v>Darwin</v>
      </c>
      <c r="D38" s="27"/>
      <c r="E38" s="27"/>
      <c r="F38" s="27"/>
      <c r="H38" s="29" t="s">
        <v>197</v>
      </c>
    </row>
    <row r="39" spans="1:8" x14ac:dyDescent="0.25">
      <c r="A39" s="31"/>
      <c r="B39" s="25"/>
      <c r="C39" s="27"/>
      <c r="D39" s="27"/>
      <c r="E39" s="27"/>
      <c r="F39" s="27"/>
      <c r="H39" s="29"/>
    </row>
    <row r="40" spans="1:8" ht="30" x14ac:dyDescent="0.25">
      <c r="A40" s="33" t="s">
        <v>198</v>
      </c>
      <c r="B40" s="25"/>
      <c r="C40" s="27"/>
      <c r="D40" s="27"/>
      <c r="E40" s="27"/>
      <c r="F40" s="27"/>
      <c r="H40" s="29"/>
    </row>
    <row r="41" spans="1:8" x14ac:dyDescent="0.25">
      <c r="A41" s="33" t="s">
        <v>199</v>
      </c>
      <c r="B41" s="35" t="s">
        <v>8</v>
      </c>
      <c r="C41" s="34" t="s">
        <v>27</v>
      </c>
      <c r="D41" s="34" t="s">
        <v>16</v>
      </c>
      <c r="E41" s="34" t="s">
        <v>12</v>
      </c>
      <c r="F41" s="34" t="s">
        <v>20</v>
      </c>
      <c r="G41" s="36" t="s">
        <v>24</v>
      </c>
      <c r="H41" s="29"/>
    </row>
    <row r="42" spans="1:8" x14ac:dyDescent="0.25">
      <c r="A42" s="33" t="s">
        <v>200</v>
      </c>
      <c r="B42" s="35" t="s">
        <v>68</v>
      </c>
      <c r="C42" s="34" t="s">
        <v>70</v>
      </c>
      <c r="D42" s="34" t="s">
        <v>72</v>
      </c>
      <c r="E42" s="34" t="s">
        <v>74</v>
      </c>
      <c r="F42" s="34" t="s">
        <v>76</v>
      </c>
      <c r="G42" s="36" t="s">
        <v>78</v>
      </c>
      <c r="H42" s="29"/>
    </row>
    <row r="43" spans="1:8" x14ac:dyDescent="0.25">
      <c r="A43" s="31"/>
      <c r="B43" s="25"/>
      <c r="C43" s="27"/>
      <c r="D43" s="27"/>
      <c r="E43" s="27"/>
      <c r="F43" s="27"/>
      <c r="H43" s="29"/>
    </row>
    <row r="44" spans="1:8" x14ac:dyDescent="0.25">
      <c r="A44" s="31"/>
      <c r="B44" s="25"/>
      <c r="C44" s="27"/>
      <c r="D44" s="27"/>
      <c r="E44" s="27"/>
      <c r="F44" s="27"/>
      <c r="H44" s="29"/>
    </row>
    <row r="45" spans="1:8" x14ac:dyDescent="0.25">
      <c r="A45" s="31"/>
      <c r="B45" s="25"/>
      <c r="C45" s="27"/>
      <c r="D45" s="27"/>
      <c r="E45" s="27"/>
      <c r="F45" s="27"/>
      <c r="H45" s="29"/>
    </row>
  </sheetData>
  <mergeCells count="1">
    <mergeCell ref="A2:H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4DD07-D7BA-4D7A-B493-0B72B785CDFE}">
  <dimension ref="A1:G12"/>
  <sheetViews>
    <sheetView showGridLines="0" workbookViewId="0">
      <selection activeCell="A25" sqref="A25"/>
    </sheetView>
  </sheetViews>
  <sheetFormatPr defaultRowHeight="15" x14ac:dyDescent="0.25"/>
  <cols>
    <col min="1" max="1" width="62.85546875" customWidth="1"/>
    <col min="2" max="2" width="66.7109375" customWidth="1"/>
    <col min="3" max="5" width="18.140625" customWidth="1"/>
    <col min="6" max="6" width="2.7109375" customWidth="1"/>
    <col min="7" max="7" width="72.42578125" customWidth="1"/>
  </cols>
  <sheetData>
    <row r="1" spans="1:7" ht="21" x14ac:dyDescent="0.35">
      <c r="A1" s="4" t="s">
        <v>201</v>
      </c>
      <c r="B1" s="3"/>
    </row>
    <row r="2" spans="1:7" ht="30" customHeight="1" x14ac:dyDescent="0.25">
      <c r="A2" s="6" t="s">
        <v>202</v>
      </c>
      <c r="B2" s="5"/>
      <c r="C2" s="5"/>
      <c r="D2" s="5"/>
      <c r="E2" s="5"/>
      <c r="F2" s="5"/>
      <c r="G2" s="5"/>
    </row>
    <row r="3" spans="1:7" x14ac:dyDescent="0.25">
      <c r="B3" s="3"/>
    </row>
    <row r="4" spans="1:7" x14ac:dyDescent="0.25">
      <c r="A4" s="21" t="s">
        <v>203</v>
      </c>
      <c r="B4" s="22" t="s">
        <v>204</v>
      </c>
      <c r="C4" s="21" t="s">
        <v>205</v>
      </c>
      <c r="D4" s="21"/>
      <c r="E4" s="21"/>
      <c r="F4" s="21"/>
      <c r="G4" s="21" t="s">
        <v>206</v>
      </c>
    </row>
    <row r="5" spans="1:7" x14ac:dyDescent="0.25">
      <c r="B5" s="3"/>
    </row>
    <row r="6" spans="1:7" ht="44.1" customHeight="1" x14ac:dyDescent="0.25">
      <c r="A6" s="39" t="s">
        <v>207</v>
      </c>
      <c r="B6" s="24" t="s">
        <v>208</v>
      </c>
      <c r="C6" s="38">
        <f>_xlfn.XLOOKUP("Indi Fraser", Players[Player], Players[Caps])</f>
        <v>47</v>
      </c>
      <c r="D6" s="7"/>
      <c r="E6" s="7"/>
      <c r="G6" s="40" t="s">
        <v>209</v>
      </c>
    </row>
    <row r="7" spans="1:7" x14ac:dyDescent="0.25">
      <c r="B7" s="24"/>
      <c r="C7" s="7"/>
      <c r="D7" s="7"/>
      <c r="E7" s="7"/>
      <c r="G7" s="40"/>
    </row>
    <row r="8" spans="1:7" ht="44.1" customHeight="1" x14ac:dyDescent="0.25">
      <c r="A8" s="39" t="s">
        <v>210</v>
      </c>
      <c r="B8" s="24" t="s">
        <v>211</v>
      </c>
      <c r="C8" s="38" t="str" cm="1">
        <f t="array" ref="C8:E8">_xlfn.XLOOKUP("Thank you", Vocab[English], Vocab[[Arabic]:[Chinese]])</f>
        <v>شكرا</v>
      </c>
      <c r="D8" s="38" t="str">
        <v>Спасибо</v>
      </c>
      <c r="E8" s="38" t="str">
        <v>谢谢</v>
      </c>
      <c r="G8" s="40" t="s">
        <v>212</v>
      </c>
    </row>
    <row r="9" spans="1:7" x14ac:dyDescent="0.25">
      <c r="B9" s="24"/>
      <c r="C9" s="7"/>
      <c r="D9" s="7"/>
      <c r="E9" s="7"/>
      <c r="G9" s="40"/>
    </row>
    <row r="10" spans="1:7" ht="44.1" customHeight="1" x14ac:dyDescent="0.25">
      <c r="A10" s="39" t="s">
        <v>213</v>
      </c>
      <c r="B10" s="24" t="s">
        <v>214</v>
      </c>
      <c r="C10" s="38" t="str">
        <f>_xlfn.XLOOKUP(_xlfn.XLOOKUP("Noor Haddad", Players[Player], Players[State]), States[State], States[HomeBase])</f>
        <v>Perth</v>
      </c>
      <c r="D10" s="7"/>
      <c r="E10" s="7"/>
      <c r="G10" s="40" t="s">
        <v>215</v>
      </c>
    </row>
    <row r="11" spans="1:7" x14ac:dyDescent="0.25">
      <c r="B11" s="3"/>
    </row>
    <row r="12" spans="1:7" x14ac:dyDescent="0.25">
      <c r="B12" s="3"/>
    </row>
  </sheetData>
  <mergeCells count="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VLOOKUP Refresher</vt:lpstr>
      <vt:lpstr>XLOOKUP Examples</vt:lpstr>
      <vt:lpstr>Exercises (Answer Key)</vt:lpstr>
    </vt:vector>
  </TitlesOfParts>
  <Company>Charles Darwin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Imogen April Davis</dc:creator>
  <cp:lastModifiedBy>Imogen April Davis</cp:lastModifiedBy>
  <dcterms:created xsi:type="dcterms:W3CDTF">2026-07-12T06:04:36Z</dcterms:created>
  <dcterms:modified xsi:type="dcterms:W3CDTF">2026-07-12T08:10:12Z</dcterms:modified>
</cp:coreProperties>
</file>